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9\"/>
    </mc:Choice>
  </mc:AlternateContent>
  <bookViews>
    <workbookView xWindow="0" yWindow="0" windowWidth="25410" windowHeight="10575"/>
  </bookViews>
  <sheets>
    <sheet name="Sheet 1" sheetId="1" r:id="rId1"/>
    <sheet name="Chk" sheetId="3" r:id="rId2"/>
  </sheets>
  <calcPr calcId="162913"/>
</workbook>
</file>

<file path=xl/calcChain.xml><?xml version="1.0" encoding="utf-8"?>
<calcChain xmlns="http://schemas.openxmlformats.org/spreadsheetml/2006/main">
  <c r="C38" i="1" l="1"/>
  <c r="I34" i="1"/>
  <c r="C32" i="1"/>
  <c r="I32" i="1"/>
  <c r="H34" i="1"/>
  <c r="H40" i="1"/>
  <c r="H38" i="1"/>
  <c r="I38" i="1"/>
  <c r="H32" i="1"/>
  <c r="I40" i="1"/>
  <c r="I13" i="1" l="1"/>
  <c r="I12" i="1"/>
  <c r="I24" i="1" s="1"/>
  <c r="C37" i="1"/>
  <c r="I6" i="1"/>
  <c r="I18" i="1"/>
  <c r="I19" i="1"/>
  <c r="I7" i="1"/>
  <c r="I17" i="1"/>
  <c r="I15" i="1"/>
  <c r="I14" i="1"/>
  <c r="I9" i="1"/>
  <c r="I5" i="1"/>
  <c r="I39" i="1"/>
  <c r="I33" i="1"/>
  <c r="C40" i="1"/>
  <c r="C34" i="1"/>
  <c r="C33" i="1"/>
  <c r="B19" i="1"/>
  <c r="B7" i="1"/>
  <c r="B6" i="1"/>
  <c r="C19" i="1"/>
  <c r="C6" i="1"/>
  <c r="H24" i="1" l="1"/>
  <c r="B38" i="1" l="1"/>
  <c r="B37" i="1"/>
  <c r="B32" i="1"/>
  <c r="J22" i="1" l="1"/>
  <c r="D26" i="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<sst xmlns="http://schemas.openxmlformats.org/spreadsheetml/2006/main" count="136" uniqueCount="99">
  <si>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</si>
  <si>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</si>
  <si>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</si>
  <si>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</si>
  <si>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</si>
  <si>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</si>
  <si>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</si>
  <si>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</si>
  <si>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</si>
  <si>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</si>
  <si>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</si>
  <si>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</si>
  <si>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</si>
  <si>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</si>
  <si>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</si>
  <si>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</si>
  <si>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</si>
  <si>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</si>
  <si>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</si>
  <si>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</si>
  <si>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</si>
  <si>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</si>
  <si>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</si>
  <si>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</si>
  <si>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</si>
  <si>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</si>
  <si>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</si>
  <si>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</si>
  <si>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</si>
  <si>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</si>
  <si>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</si>
  <si>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</si>
  <si>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</si>
  <si>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</si>
  <si>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</si>
  <si>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</si>
  <si>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</si>
  <si>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</si>
  <si>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</si>
  <si>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</si>
  <si>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</si>
  <si>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</si>
  <si>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</si>
  <si>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</si>
  <si>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</si>
  <si>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</si>
  <si>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</si>
  <si>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</si>
  <si>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</si>
  <si>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</si>
  <si>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</si>
  <si>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</si>
  <si>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</si>
  <si>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</si>
  <si>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</si>
  <si>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</si>
  <si>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</si>
  <si>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</si>
  <si>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</si>
  <si>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</si>
  <si>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</si>
  <si>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</si>
  <si>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</si>
  <si>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</si>
  <si>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</si>
  <si>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</si>
  <si>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</si>
  <si>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Fall 2019</t>
  </si>
  <si>
    <t>* Fall 2018 headcount and credit hour totals represent the sum of School of Health and Rehabilitation Sciences and School of Physical Education and Tourism Management. Though the merger became official on July 1, 2018, snapshots leading to the beginning of the semester still reflected a split.</t>
  </si>
  <si>
    <t>Kelley Business</t>
  </si>
  <si>
    <t>IU Ft. Wayne***</t>
  </si>
  <si>
    <t>O' Neil SPEA</t>
  </si>
  <si>
    <t>O'Neil SPEA</t>
  </si>
  <si>
    <t>IN Total#</t>
  </si>
  <si>
    <t>*** Registration at IU Ft. Wayne began after the Spring 2018 smester for Fall 2018. Numbers will not be comparable June. Includes hours in Purdue courses</t>
  </si>
  <si>
    <t>5/7/2018</t>
  </si>
  <si>
    <t>+4 non-degree</t>
  </si>
  <si>
    <t>5/13/2019</t>
  </si>
  <si>
    <t>Office of Institutional Research and Decision Support 5/13/2019</t>
  </si>
  <si>
    <t>-17 non-degree</t>
  </si>
  <si>
    <t>-13 ug; -174 grad; -1 non-degree</t>
  </si>
  <si>
    <t>+22 ug; -1 grad/prof</t>
  </si>
  <si>
    <t>-55 ug; -2 grad; -5 non-degree</t>
  </si>
  <si>
    <t>-64 ug; +20 grad</t>
  </si>
  <si>
    <t>-72 ug; -71 grad</t>
  </si>
  <si>
    <t>-4 ug; -3 grad; -1 non-degree</t>
  </si>
  <si>
    <t>+6 ug; +26 grad; +1 non-degree</t>
  </si>
  <si>
    <t>-14 grad/prof</t>
  </si>
  <si>
    <t>-2 ug; +47 grad/prof; +0 non-degree</t>
  </si>
  <si>
    <t>+4 ug; -10 grad</t>
  </si>
  <si>
    <t>-28 ug; -1 grad</t>
  </si>
  <si>
    <t>+38 ug; +1 grad/prof</t>
  </si>
  <si>
    <t>+46 ug; +23 grad; -5 non-degree</t>
  </si>
  <si>
    <t>+25 ug; +8 grad</t>
  </si>
  <si>
    <t>-17 ug; +9 hs; +36 non-degree</t>
  </si>
  <si>
    <t>+8 ug; +0 grad/prof</t>
  </si>
  <si>
    <t>-68 ug; -3 grad</t>
  </si>
  <si>
    <t>#Students enrolled at multiple campuses and in multiple careers across multiple schools are counted twice at this time. Credits are not affected.</t>
  </si>
  <si>
    <r>
      <t xml:space="preserve">Notes:  While most IUPUI students pursuing graduate studies enroll through the IUPUI school that offers the degree, </t>
    </r>
    <r>
      <rPr>
        <i/>
        <sz val="8"/>
        <rFont val="Arial"/>
        <family val="2"/>
      </rPr>
      <t xml:space="preserve">GRAD </t>
    </r>
    <r>
      <rPr>
        <sz val="8"/>
        <rFont val="Arial"/>
        <family val="2"/>
      </rPr>
      <t xml:space="preserve">holds students who enroll through the IU Graduate School.  This is primarily students in Liberal Arts and Medicine but also includes some students pursuing other IU graduate degrees. In this report most degree-seeking students have been attributed to their units.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</si>
</sst>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xf numFmtId="0" fontId="10" fillId="0" borderId="0"/>
    <xf numFmtId="0" fontId="11" fillId="0" borderId="0"/>
  </cellStyleXfs>
  <cellXfs count="210">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3" fontId="21" fillId="2" borderId="14" xfId="0" applyNumberFormat="1" applyFont="1" applyFill="1" applyBorder="1" applyAlignment="1">
      <alignment horizontal="center" wrapText="1"/>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28" fillId="2" borderId="3" xfId="0" applyNumberFormat="1" applyFont="1" applyFill="1" applyBorder="1" applyAlignment="1">
      <alignment horizontal="center" wrapText="1"/>
    </xf>
    <xf numFmtId="164" fontId="28"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30" fillId="3" borderId="9" xfId="0" applyNumberFormat="1" applyFont="1" applyFill="1" applyBorder="1" applyAlignment="1">
      <alignment horizontal="center" vertic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3" fontId="28" fillId="2" borderId="11"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3" fontId="28" fillId="0" borderId="11" xfId="0" applyNumberFormat="1" applyFont="1" applyFill="1" applyBorder="1" applyAlignment="1">
      <alignment horizontal="center" wrapText="1"/>
    </xf>
    <xf numFmtId="164" fontId="28" fillId="0" borderId="1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4" fillId="0" borderId="10" xfId="0" applyNumberFormat="1" applyFont="1" applyBorder="1" applyAlignment="1">
      <alignment horizontal="center"/>
    </xf>
    <xf numFmtId="164" fontId="28" fillId="2" borderId="2" xfId="0" applyNumberFormat="1" applyFont="1" applyFill="1" applyBorder="1" applyAlignment="1">
      <alignment horizontal="center" wrapText="1"/>
    </xf>
    <xf numFmtId="49" fontId="4" fillId="0" borderId="22" xfId="0" applyNumberFormat="1" applyFont="1" applyFill="1" applyBorder="1"/>
    <xf numFmtId="166" fontId="28" fillId="0" borderId="9" xfId="0" applyNumberFormat="1" applyFont="1" applyFill="1" applyBorder="1" applyAlignment="1">
      <alignment horizontal="center" vertical="center" wrapText="1" readingOrder="1"/>
    </xf>
    <xf numFmtId="49" fontId="16" fillId="3" borderId="48" xfId="0" applyNumberFormat="1" applyFont="1" applyFill="1" applyBorder="1" applyAlignment="1">
      <alignment horizontal="center"/>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left" vertical="center" wrapText="1"/>
    </xf>
    <xf numFmtId="49" fontId="18" fillId="0" borderId="22" xfId="0" applyNumberFormat="1" applyFont="1" applyFill="1" applyBorder="1" applyAlignment="1">
      <alignment horizontal="left" vertical="center" wrapText="1"/>
    </xf>
    <xf numFmtId="49" fontId="14" fillId="0" borderId="49"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0" fillId="0" borderId="21" xfId="0" applyNumberFormat="1" applyBorder="1"/>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3" fontId="29" fillId="5" borderId="28" xfId="0" applyNumberFormat="1" applyFont="1" applyFill="1" applyBorder="1" applyAlignment="1">
      <alignment horizontal="center" vertical="center" wrapText="1"/>
    </xf>
    <xf numFmtId="164" fontId="29" fillId="5" borderId="29" xfId="0" applyNumberFormat="1" applyFont="1" applyFill="1" applyBorder="1" applyAlignment="1">
      <alignment horizontal="center" vertical="center" wrapText="1"/>
    </xf>
    <xf numFmtId="164" fontId="28" fillId="0" borderId="9" xfId="0" applyNumberFormat="1" applyFont="1" applyBorder="1" applyAlignment="1">
      <alignment horizontal="center" vertical="center" wrapText="1" readingOrder="1"/>
    </xf>
    <xf numFmtId="3" fontId="29" fillId="2" borderId="3"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9" fillId="5" borderId="10" xfId="0" applyNumberFormat="1" applyFont="1" applyFill="1" applyBorder="1" applyAlignment="1">
      <alignment horizontal="center" wrapText="1"/>
    </xf>
    <xf numFmtId="164" fontId="29" fillId="5" borderId="2" xfId="0" applyNumberFormat="1" applyFont="1" applyFill="1" applyBorder="1" applyAlignment="1">
      <alignment horizontal="center" wrapText="1"/>
    </xf>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20" fillId="0" borderId="4" xfId="0" applyFont="1" applyBorder="1" applyAlignment="1">
      <alignment wrapText="1"/>
    </xf>
    <xf numFmtId="0" fontId="20" fillId="0" borderId="9" xfId="0" applyFont="1" applyBorder="1" applyAlignment="1">
      <alignment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C39" sqref="C39"/>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67</v>
      </c>
      <c r="B1" s="191" t="s">
        <v>32</v>
      </c>
      <c r="C1" s="192"/>
      <c r="D1" s="192"/>
      <c r="E1" s="6"/>
      <c r="F1" s="14"/>
      <c r="G1" s="196">
        <v>43598</v>
      </c>
      <c r="H1" s="197"/>
      <c r="I1" s="197"/>
      <c r="J1" s="197"/>
      <c r="K1" s="197"/>
      <c r="L1" s="197"/>
    </row>
    <row r="2" spans="1:12" s="3" customFormat="1" ht="16.5" customHeight="1" thickBot="1" x14ac:dyDescent="0.3">
      <c r="A2" s="193" t="s">
        <v>3</v>
      </c>
      <c r="B2" s="194"/>
      <c r="C2" s="194"/>
      <c r="D2" s="58"/>
      <c r="E2" s="58"/>
      <c r="F2" s="15"/>
      <c r="G2" s="195" t="s">
        <v>4</v>
      </c>
      <c r="H2" s="194"/>
      <c r="I2" s="194"/>
      <c r="J2" s="194"/>
      <c r="K2" s="68"/>
      <c r="L2" s="157"/>
    </row>
    <row r="3" spans="1:12" s="1" customFormat="1" ht="15.75" thickBot="1" x14ac:dyDescent="0.3">
      <c r="A3" s="52" t="s">
        <v>2</v>
      </c>
      <c r="B3" s="53" t="s">
        <v>75</v>
      </c>
      <c r="C3" s="53" t="s">
        <v>77</v>
      </c>
      <c r="D3" s="57" t="s">
        <v>0</v>
      </c>
      <c r="E3" s="55" t="s">
        <v>1</v>
      </c>
      <c r="F3" s="45"/>
      <c r="G3" s="52" t="s">
        <v>2</v>
      </c>
      <c r="H3" s="53" t="s">
        <v>75</v>
      </c>
      <c r="I3" s="53" t="s">
        <v>77</v>
      </c>
      <c r="J3" s="54" t="s">
        <v>0</v>
      </c>
      <c r="K3" s="55" t="s">
        <v>1</v>
      </c>
      <c r="L3" s="148" t="s">
        <v>36</v>
      </c>
    </row>
    <row r="4" spans="1:12" ht="15" x14ac:dyDescent="0.25">
      <c r="A4" s="56" t="s">
        <v>19</v>
      </c>
      <c r="B4" s="59">
        <v>49.5</v>
      </c>
      <c r="C4" s="59">
        <v>258</v>
      </c>
      <c r="D4" s="135">
        <f t="shared" ref="D4:D23" si="0">C4-B4</f>
        <v>208.5</v>
      </c>
      <c r="E4" s="136">
        <f t="shared" ref="E4:E21" si="1">D4/B4</f>
        <v>4.2121212121212119</v>
      </c>
      <c r="F4" s="21"/>
      <c r="G4" s="51" t="s">
        <v>19</v>
      </c>
      <c r="H4" s="50">
        <v>10</v>
      </c>
      <c r="I4" s="50">
        <v>31</v>
      </c>
      <c r="J4" s="141">
        <f>I4-H4</f>
        <v>21</v>
      </c>
      <c r="K4" s="142">
        <f>J4/H4</f>
        <v>2.1</v>
      </c>
      <c r="L4" s="149" t="s">
        <v>81</v>
      </c>
    </row>
    <row r="5" spans="1:12" ht="15" x14ac:dyDescent="0.25">
      <c r="A5" s="22" t="s">
        <v>20</v>
      </c>
      <c r="B5" s="59">
        <v>6007</v>
      </c>
      <c r="C5" s="59">
        <v>5320</v>
      </c>
      <c r="D5" s="107">
        <f t="shared" si="0"/>
        <v>-687</v>
      </c>
      <c r="E5" s="72">
        <f t="shared" si="1"/>
        <v>-0.11436657233227901</v>
      </c>
      <c r="F5" s="21"/>
      <c r="G5" s="18" t="s">
        <v>20</v>
      </c>
      <c r="H5" s="50">
        <v>560</v>
      </c>
      <c r="I5" s="50">
        <f>485+13</f>
        <v>498</v>
      </c>
      <c r="J5" s="118">
        <f t="shared" ref="J5:J27" si="2">I5-H5</f>
        <v>-62</v>
      </c>
      <c r="K5" s="119">
        <f t="shared" ref="K5:K27" si="3">J5/H5</f>
        <v>-0.11071428571428571</v>
      </c>
      <c r="L5" s="149" t="s">
        <v>82</v>
      </c>
    </row>
    <row r="6" spans="1:12" ht="15" x14ac:dyDescent="0.25">
      <c r="A6" s="22" t="s">
        <v>24</v>
      </c>
      <c r="B6" s="59">
        <f>7972+11737</f>
        <v>19709</v>
      </c>
      <c r="C6" s="59">
        <f>8117+10984</f>
        <v>19101</v>
      </c>
      <c r="D6" s="107">
        <f t="shared" si="0"/>
        <v>-608</v>
      </c>
      <c r="E6" s="72">
        <f t="shared" si="1"/>
        <v>-3.0848850778832006E-2</v>
      </c>
      <c r="F6" s="21"/>
      <c r="G6" s="18" t="s">
        <v>24</v>
      </c>
      <c r="H6" s="50">
        <v>1828</v>
      </c>
      <c r="I6" s="50">
        <f>974+809+1</f>
        <v>1784</v>
      </c>
      <c r="J6" s="118">
        <f t="shared" si="2"/>
        <v>-44</v>
      </c>
      <c r="K6" s="119">
        <f t="shared" si="3"/>
        <v>-2.4070021881838075E-2</v>
      </c>
      <c r="L6" s="150" t="s">
        <v>83</v>
      </c>
    </row>
    <row r="7" spans="1:12" ht="15.75" customHeight="1" x14ac:dyDescent="0.25">
      <c r="A7" s="22" t="s">
        <v>48</v>
      </c>
      <c r="B7" s="59">
        <f>10336+4616</f>
        <v>14952</v>
      </c>
      <c r="C7" s="59">
        <v>12695</v>
      </c>
      <c r="D7" s="107">
        <f t="shared" si="0"/>
        <v>-2257</v>
      </c>
      <c r="E7" s="72">
        <f t="shared" si="1"/>
        <v>-0.15094970572498662</v>
      </c>
      <c r="F7" s="21"/>
      <c r="G7" s="22" t="s">
        <v>48</v>
      </c>
      <c r="H7" s="50">
        <v>1024</v>
      </c>
      <c r="I7" s="50">
        <f>877+4</f>
        <v>881</v>
      </c>
      <c r="J7" s="118">
        <f t="shared" si="2"/>
        <v>-143</v>
      </c>
      <c r="K7" s="119">
        <f t="shared" si="3"/>
        <v>-0.1396484375</v>
      </c>
      <c r="L7" s="150" t="s">
        <v>84</v>
      </c>
    </row>
    <row r="8" spans="1:12" ht="15" x14ac:dyDescent="0.25">
      <c r="A8" s="22" t="s">
        <v>35</v>
      </c>
      <c r="B8" s="59">
        <v>5744.5</v>
      </c>
      <c r="C8" s="59">
        <v>5698.5</v>
      </c>
      <c r="D8" s="107">
        <f t="shared" si="0"/>
        <v>-46</v>
      </c>
      <c r="E8" s="72">
        <f t="shared" si="1"/>
        <v>-8.0076595003916798E-3</v>
      </c>
      <c r="F8" s="21"/>
      <c r="G8" s="18" t="s">
        <v>35</v>
      </c>
      <c r="H8" s="50">
        <v>433</v>
      </c>
      <c r="I8" s="50">
        <v>425</v>
      </c>
      <c r="J8" s="118">
        <f t="shared" si="2"/>
        <v>-8</v>
      </c>
      <c r="K8" s="119">
        <f t="shared" si="3"/>
        <v>-1.8475750577367205E-2</v>
      </c>
      <c r="L8" s="150" t="s">
        <v>85</v>
      </c>
    </row>
    <row r="9" spans="1:12" ht="15" x14ac:dyDescent="0.25">
      <c r="A9" s="22" t="s">
        <v>46</v>
      </c>
      <c r="B9" s="59">
        <v>7554</v>
      </c>
      <c r="C9" s="59">
        <v>7840</v>
      </c>
      <c r="D9" s="69">
        <f t="shared" si="0"/>
        <v>286</v>
      </c>
      <c r="E9" s="70">
        <f t="shared" si="1"/>
        <v>3.7860736033889328E-2</v>
      </c>
      <c r="F9" s="21"/>
      <c r="G9" s="22" t="s">
        <v>46</v>
      </c>
      <c r="H9" s="50">
        <v>742</v>
      </c>
      <c r="I9" s="50">
        <f>767+8</f>
        <v>775</v>
      </c>
      <c r="J9" s="131">
        <f t="shared" si="2"/>
        <v>33</v>
      </c>
      <c r="K9" s="132">
        <f t="shared" si="3"/>
        <v>4.4474393530997303E-2</v>
      </c>
      <c r="L9" s="150" t="s">
        <v>86</v>
      </c>
    </row>
    <row r="10" spans="1:12" ht="15" x14ac:dyDescent="0.25">
      <c r="A10" s="22" t="s">
        <v>69</v>
      </c>
      <c r="B10" s="59">
        <v>15271.5</v>
      </c>
      <c r="C10" s="59">
        <v>14248</v>
      </c>
      <c r="D10" s="126">
        <f t="shared" si="0"/>
        <v>-1023.5</v>
      </c>
      <c r="E10" s="127">
        <f t="shared" si="1"/>
        <v>-6.7020266509511178E-2</v>
      </c>
      <c r="F10" s="21"/>
      <c r="G10" s="18" t="s">
        <v>69</v>
      </c>
      <c r="H10" s="50">
        <v>944</v>
      </c>
      <c r="I10" s="50">
        <v>756</v>
      </c>
      <c r="J10" s="118">
        <f t="shared" si="2"/>
        <v>-188</v>
      </c>
      <c r="K10" s="119">
        <f t="shared" si="3"/>
        <v>-0.19915254237288135</v>
      </c>
      <c r="L10" s="150" t="s">
        <v>80</v>
      </c>
    </row>
    <row r="11" spans="1:12" ht="14.25" customHeight="1" x14ac:dyDescent="0.25">
      <c r="A11" s="22" t="s">
        <v>33</v>
      </c>
      <c r="B11" s="59">
        <v>7131.5</v>
      </c>
      <c r="C11" s="59">
        <v>6951</v>
      </c>
      <c r="D11" s="107">
        <f t="shared" si="0"/>
        <v>-180.5</v>
      </c>
      <c r="E11" s="72">
        <f t="shared" si="1"/>
        <v>-2.5310243286826052E-2</v>
      </c>
      <c r="F11" s="21"/>
      <c r="G11" s="18" t="s">
        <v>33</v>
      </c>
      <c r="H11" s="50">
        <v>560</v>
      </c>
      <c r="I11" s="50">
        <v>546</v>
      </c>
      <c r="J11" s="118">
        <f t="shared" si="2"/>
        <v>-14</v>
      </c>
      <c r="K11" s="119">
        <f t="shared" si="3"/>
        <v>-2.5000000000000001E-2</v>
      </c>
      <c r="L11" s="150" t="s">
        <v>87</v>
      </c>
    </row>
    <row r="12" spans="1:12" ht="15" x14ac:dyDescent="0.25">
      <c r="A12" s="22" t="s">
        <v>47</v>
      </c>
      <c r="B12" s="59">
        <v>24730</v>
      </c>
      <c r="C12" s="59">
        <v>23862</v>
      </c>
      <c r="D12" s="107">
        <f t="shared" si="0"/>
        <v>-868</v>
      </c>
      <c r="E12" s="72">
        <f t="shared" si="1"/>
        <v>-3.5099069955519611E-2</v>
      </c>
      <c r="F12" s="21"/>
      <c r="G12" s="18" t="s">
        <v>47</v>
      </c>
      <c r="H12" s="50">
        <v>1088</v>
      </c>
      <c r="I12" s="50">
        <f>1015+2</f>
        <v>1017</v>
      </c>
      <c r="J12" s="118">
        <f t="shared" si="2"/>
        <v>-71</v>
      </c>
      <c r="K12" s="119">
        <f t="shared" si="3"/>
        <v>-6.5257352941176475E-2</v>
      </c>
      <c r="L12" s="150" t="s">
        <v>96</v>
      </c>
    </row>
    <row r="13" spans="1:12" ht="15" customHeight="1" x14ac:dyDescent="0.25">
      <c r="A13" s="22" t="s">
        <v>38</v>
      </c>
      <c r="B13" s="59">
        <v>1734</v>
      </c>
      <c r="C13" s="59">
        <v>1716</v>
      </c>
      <c r="D13" s="107">
        <f t="shared" si="0"/>
        <v>-18</v>
      </c>
      <c r="E13" s="72">
        <f t="shared" si="1"/>
        <v>-1.0380622837370242E-2</v>
      </c>
      <c r="F13" s="21"/>
      <c r="G13" s="18" t="s">
        <v>38</v>
      </c>
      <c r="H13" s="50">
        <v>102</v>
      </c>
      <c r="I13" s="50">
        <f>110</f>
        <v>110</v>
      </c>
      <c r="J13" s="118">
        <f t="shared" si="2"/>
        <v>8</v>
      </c>
      <c r="K13" s="119">
        <f t="shared" si="3"/>
        <v>7.8431372549019607E-2</v>
      </c>
      <c r="L13" s="151" t="s">
        <v>95</v>
      </c>
    </row>
    <row r="14" spans="1:12" ht="14.25" customHeight="1" x14ac:dyDescent="0.25">
      <c r="A14" s="22" t="s">
        <v>21</v>
      </c>
      <c r="B14" s="59">
        <v>8001</v>
      </c>
      <c r="C14" s="59">
        <v>8331</v>
      </c>
      <c r="D14" s="69">
        <f t="shared" si="0"/>
        <v>330</v>
      </c>
      <c r="E14" s="70">
        <f t="shared" si="1"/>
        <v>4.1244844394450697E-2</v>
      </c>
      <c r="F14" s="21"/>
      <c r="G14" s="18" t="s">
        <v>21</v>
      </c>
      <c r="H14" s="50">
        <v>720</v>
      </c>
      <c r="I14" s="50">
        <f>753+12</f>
        <v>765</v>
      </c>
      <c r="J14" s="131">
        <f t="shared" si="2"/>
        <v>45</v>
      </c>
      <c r="K14" s="132">
        <f t="shared" si="3"/>
        <v>6.25E-2</v>
      </c>
      <c r="L14" s="151" t="s">
        <v>88</v>
      </c>
    </row>
    <row r="15" spans="1:12" ht="15" x14ac:dyDescent="0.25">
      <c r="A15" s="22" t="s">
        <v>40</v>
      </c>
      <c r="B15" s="59">
        <v>700</v>
      </c>
      <c r="C15" s="59">
        <v>718</v>
      </c>
      <c r="D15" s="69">
        <f t="shared" si="0"/>
        <v>18</v>
      </c>
      <c r="E15" s="70">
        <f t="shared" si="1"/>
        <v>2.5714285714285714E-2</v>
      </c>
      <c r="F15" s="21"/>
      <c r="G15" s="22" t="s">
        <v>40</v>
      </c>
      <c r="H15" s="50">
        <v>119</v>
      </c>
      <c r="I15" s="50">
        <f>34+79</f>
        <v>113</v>
      </c>
      <c r="J15" s="118">
        <f t="shared" si="2"/>
        <v>-6</v>
      </c>
      <c r="K15" s="119">
        <f t="shared" si="3"/>
        <v>-5.0420168067226892E-2</v>
      </c>
      <c r="L15" s="150" t="s">
        <v>89</v>
      </c>
    </row>
    <row r="16" spans="1:12" ht="15" customHeight="1" x14ac:dyDescent="0.25">
      <c r="A16" s="22" t="s">
        <v>72</v>
      </c>
      <c r="B16" s="59">
        <v>5815</v>
      </c>
      <c r="C16" s="59">
        <v>5272</v>
      </c>
      <c r="D16" s="107">
        <f t="shared" si="0"/>
        <v>-543</v>
      </c>
      <c r="E16" s="72">
        <f t="shared" si="1"/>
        <v>-9.3379191745485812E-2</v>
      </c>
      <c r="F16" s="21"/>
      <c r="G16" s="18" t="s">
        <v>71</v>
      </c>
      <c r="H16" s="50">
        <v>544</v>
      </c>
      <c r="I16" s="50">
        <v>515</v>
      </c>
      <c r="J16" s="118">
        <f t="shared" si="2"/>
        <v>-29</v>
      </c>
      <c r="K16" s="119">
        <f t="shared" si="3"/>
        <v>-5.3308823529411763E-2</v>
      </c>
      <c r="L16" s="150" t="s">
        <v>90</v>
      </c>
    </row>
    <row r="17" spans="1:12" ht="15" x14ac:dyDescent="0.25">
      <c r="A17" s="18" t="s">
        <v>37</v>
      </c>
      <c r="B17" s="59">
        <v>4333</v>
      </c>
      <c r="C17" s="59">
        <v>5299</v>
      </c>
      <c r="D17" s="69">
        <f t="shared" si="0"/>
        <v>966</v>
      </c>
      <c r="E17" s="70">
        <f t="shared" si="1"/>
        <v>0.22294022617124395</v>
      </c>
      <c r="F17" s="21"/>
      <c r="G17" s="18" t="s">
        <v>37</v>
      </c>
      <c r="H17" s="50">
        <v>297</v>
      </c>
      <c r="I17" s="50">
        <f>314+22</f>
        <v>336</v>
      </c>
      <c r="J17" s="131">
        <f t="shared" si="2"/>
        <v>39</v>
      </c>
      <c r="K17" s="132">
        <f t="shared" si="3"/>
        <v>0.13131313131313133</v>
      </c>
      <c r="L17" s="150" t="s">
        <v>91</v>
      </c>
    </row>
    <row r="18" spans="1:12" ht="15" x14ac:dyDescent="0.25">
      <c r="A18" s="22" t="s">
        <v>22</v>
      </c>
      <c r="B18" s="59">
        <v>37497</v>
      </c>
      <c r="C18" s="59">
        <v>37480</v>
      </c>
      <c r="D18" s="107">
        <f t="shared" si="0"/>
        <v>-17</v>
      </c>
      <c r="E18" s="72">
        <f t="shared" si="1"/>
        <v>-4.5336960290156544E-4</v>
      </c>
      <c r="F18" s="21"/>
      <c r="G18" s="18" t="s">
        <v>22</v>
      </c>
      <c r="H18" s="50">
        <v>1643</v>
      </c>
      <c r="I18" s="50">
        <f>8+1624+75</f>
        <v>1707</v>
      </c>
      <c r="J18" s="131">
        <f t="shared" si="2"/>
        <v>64</v>
      </c>
      <c r="K18" s="132">
        <f t="shared" si="3"/>
        <v>3.8953134510042606E-2</v>
      </c>
      <c r="L18" s="150" t="s">
        <v>92</v>
      </c>
    </row>
    <row r="19" spans="1:12" ht="15.75" customHeight="1" x14ac:dyDescent="0.25">
      <c r="A19" s="22" t="s">
        <v>41</v>
      </c>
      <c r="B19" s="59">
        <f>5491+91</f>
        <v>5582</v>
      </c>
      <c r="C19" s="59">
        <f>5723+96</f>
        <v>5819</v>
      </c>
      <c r="D19" s="69">
        <f t="shared" si="0"/>
        <v>237</v>
      </c>
      <c r="E19" s="70">
        <f t="shared" si="1"/>
        <v>4.2457900394123969E-2</v>
      </c>
      <c r="F19" s="21"/>
      <c r="G19" s="18" t="s">
        <v>41</v>
      </c>
      <c r="H19" s="50">
        <v>501</v>
      </c>
      <c r="I19" s="50">
        <f>525+5+4</f>
        <v>534</v>
      </c>
      <c r="J19" s="131">
        <f t="shared" si="2"/>
        <v>33</v>
      </c>
      <c r="K19" s="132">
        <f t="shared" si="3"/>
        <v>6.5868263473053898E-2</v>
      </c>
      <c r="L19" s="150" t="s">
        <v>93</v>
      </c>
    </row>
    <row r="20" spans="1:12" ht="15" x14ac:dyDescent="0.25">
      <c r="A20" s="22" t="s">
        <v>43</v>
      </c>
      <c r="B20" s="59">
        <v>0</v>
      </c>
      <c r="C20" s="59">
        <v>18</v>
      </c>
      <c r="D20" s="69">
        <f t="shared" si="0"/>
        <v>18</v>
      </c>
      <c r="E20" s="70" t="s">
        <v>45</v>
      </c>
      <c r="F20" s="21"/>
      <c r="G20" s="18" t="s">
        <v>65</v>
      </c>
      <c r="H20" s="50">
        <v>46</v>
      </c>
      <c r="I20" s="50">
        <v>29</v>
      </c>
      <c r="J20" s="118">
        <f t="shared" si="2"/>
        <v>-17</v>
      </c>
      <c r="K20" s="119">
        <f t="shared" si="3"/>
        <v>-0.36956521739130432</v>
      </c>
      <c r="L20" s="150" t="s">
        <v>79</v>
      </c>
    </row>
    <row r="21" spans="1:12" ht="15" customHeight="1" x14ac:dyDescent="0.25">
      <c r="A21" s="22" t="s">
        <v>6</v>
      </c>
      <c r="B21" s="59">
        <v>12</v>
      </c>
      <c r="C21" s="59">
        <v>7</v>
      </c>
      <c r="D21" s="107">
        <f>C21-B21</f>
        <v>-5</v>
      </c>
      <c r="E21" s="72">
        <f t="shared" si="1"/>
        <v>-0.41666666666666669</v>
      </c>
      <c r="F21" s="21"/>
      <c r="G21" s="18" t="s">
        <v>23</v>
      </c>
      <c r="H21" s="50">
        <v>2290</v>
      </c>
      <c r="I21" s="50">
        <v>2318</v>
      </c>
      <c r="J21" s="164">
        <f t="shared" si="2"/>
        <v>28</v>
      </c>
      <c r="K21" s="165">
        <f t="shared" si="3"/>
        <v>1.222707423580786E-2</v>
      </c>
      <c r="L21" s="152" t="s">
        <v>94</v>
      </c>
    </row>
    <row r="22" spans="1:12" ht="15" customHeight="1" x14ac:dyDescent="0.25">
      <c r="A22" s="34" t="s">
        <v>23</v>
      </c>
      <c r="B22" s="59">
        <v>206</v>
      </c>
      <c r="C22" s="59">
        <v>240</v>
      </c>
      <c r="D22" s="69">
        <f>C22-B22</f>
        <v>34</v>
      </c>
      <c r="E22" s="70">
        <f t="shared" ref="E22" si="4">D22/B22</f>
        <v>0.1650485436893204</v>
      </c>
      <c r="F22" s="96"/>
      <c r="G22" s="133" t="s">
        <v>66</v>
      </c>
      <c r="H22" s="50">
        <v>0</v>
      </c>
      <c r="I22" s="50">
        <v>4</v>
      </c>
      <c r="J22" s="131">
        <f t="shared" ref="J22" si="5">I22-H22</f>
        <v>4</v>
      </c>
      <c r="K22" s="132" t="s">
        <v>45</v>
      </c>
      <c r="L22" s="152" t="s">
        <v>76</v>
      </c>
    </row>
    <row r="23" spans="1:12" ht="15" customHeight="1" x14ac:dyDescent="0.25">
      <c r="A23" s="34" t="s">
        <v>62</v>
      </c>
      <c r="B23" s="103">
        <v>77</v>
      </c>
      <c r="C23" s="104">
        <v>278</v>
      </c>
      <c r="D23" s="69">
        <f t="shared" si="0"/>
        <v>201</v>
      </c>
      <c r="E23" s="70">
        <f>D23/B23</f>
        <v>2.6103896103896105</v>
      </c>
      <c r="F23" s="96"/>
      <c r="G23" s="134"/>
      <c r="H23" s="50"/>
      <c r="I23" s="50"/>
      <c r="J23" s="118"/>
      <c r="K23" s="119"/>
      <c r="L23" s="153"/>
    </row>
    <row r="24" spans="1:12" ht="14.25" customHeight="1" x14ac:dyDescent="0.25">
      <c r="A24" s="35" t="s">
        <v>31</v>
      </c>
      <c r="B24" s="60">
        <f>SUM(B4:B23)</f>
        <v>165106</v>
      </c>
      <c r="C24" s="60">
        <f>SUM(C4:C23)</f>
        <v>161151.5</v>
      </c>
      <c r="D24" s="130">
        <f>C24-B24</f>
        <v>-3954.5</v>
      </c>
      <c r="E24" s="121">
        <f>D24/B24</f>
        <v>-2.3951279783896405E-2</v>
      </c>
      <c r="F24" s="106"/>
      <c r="G24" s="105" t="s">
        <v>73</v>
      </c>
      <c r="H24" s="49">
        <f>SUM(H4:H22)</f>
        <v>13451</v>
      </c>
      <c r="I24" s="49">
        <f>SUM(I4:I22)</f>
        <v>13144</v>
      </c>
      <c r="J24" s="128">
        <f>I24-H24</f>
        <v>-307</v>
      </c>
      <c r="K24" s="129">
        <f>J24/H24</f>
        <v>-2.2823581889822319E-2</v>
      </c>
      <c r="L24" s="154"/>
    </row>
    <row r="25" spans="1:12" ht="14.25" customHeight="1" x14ac:dyDescent="0.25">
      <c r="A25" s="32" t="s">
        <v>14</v>
      </c>
      <c r="B25" s="101">
        <v>6438</v>
      </c>
      <c r="C25" s="102">
        <v>7579.5</v>
      </c>
      <c r="D25" s="112">
        <f t="shared" ref="D25" si="6">C25-B25</f>
        <v>1141.5</v>
      </c>
      <c r="E25" s="137">
        <f t="shared" ref="E25" si="7">D25/B25</f>
        <v>0.17730661696178937</v>
      </c>
      <c r="F25" s="23"/>
      <c r="G25" s="32" t="s">
        <v>14</v>
      </c>
      <c r="H25" s="62">
        <v>527</v>
      </c>
      <c r="I25" s="62">
        <v>599</v>
      </c>
      <c r="J25" s="111">
        <f>I25-H25</f>
        <v>72</v>
      </c>
      <c r="K25" s="140">
        <f>J25/H25</f>
        <v>0.13662239089184061</v>
      </c>
      <c r="L25" s="207" t="s">
        <v>68</v>
      </c>
    </row>
    <row r="26" spans="1:12" ht="15" customHeight="1" x14ac:dyDescent="0.25">
      <c r="A26" s="97" t="s">
        <v>70</v>
      </c>
      <c r="B26" s="44">
        <v>0</v>
      </c>
      <c r="C26" s="44">
        <v>4116</v>
      </c>
      <c r="D26" s="112">
        <f>C26-B26</f>
        <v>4116</v>
      </c>
      <c r="E26" s="137" t="s">
        <v>45</v>
      </c>
      <c r="F26" s="96"/>
      <c r="G26" s="97" t="s">
        <v>70</v>
      </c>
      <c r="H26" s="109">
        <v>0</v>
      </c>
      <c r="I26" s="110">
        <v>337</v>
      </c>
      <c r="J26" s="111">
        <f>I26-H26</f>
        <v>337</v>
      </c>
      <c r="K26" s="143" t="s">
        <v>45</v>
      </c>
      <c r="L26" s="208"/>
    </row>
    <row r="27" spans="1:12" ht="18" customHeight="1" thickBot="1" x14ac:dyDescent="0.3">
      <c r="A27" s="92" t="s">
        <v>44</v>
      </c>
      <c r="B27" s="93">
        <f>SUM(B24:B26)</f>
        <v>171544</v>
      </c>
      <c r="C27" s="93">
        <f>SUM(C24:C26)</f>
        <v>172847</v>
      </c>
      <c r="D27" s="160">
        <f t="shared" ref="D27" si="8">C27-B27</f>
        <v>1303</v>
      </c>
      <c r="E27" s="161">
        <f t="shared" ref="E27" si="9">D27/B27</f>
        <v>7.5957188826190365E-3</v>
      </c>
      <c r="F27" s="24"/>
      <c r="G27" s="33" t="s">
        <v>44</v>
      </c>
      <c r="H27" s="61">
        <f>SUM(H24:H26)</f>
        <v>13978</v>
      </c>
      <c r="I27" s="61">
        <f>SUM(I24:I26)</f>
        <v>14080</v>
      </c>
      <c r="J27" s="166">
        <f t="shared" si="2"/>
        <v>102</v>
      </c>
      <c r="K27" s="167">
        <f t="shared" si="3"/>
        <v>7.2971812848762344E-3</v>
      </c>
      <c r="L27" s="208"/>
    </row>
    <row r="28" spans="1:12" ht="14.25" customHeight="1" thickTop="1" x14ac:dyDescent="0.2">
      <c r="A28" s="204" t="s">
        <v>9</v>
      </c>
      <c r="B28" s="204"/>
      <c r="C28" s="204"/>
      <c r="D28" s="204"/>
      <c r="E28" s="204"/>
      <c r="F28" s="25"/>
      <c r="G28" s="198"/>
      <c r="H28" s="199"/>
      <c r="I28" s="199"/>
      <c r="J28" s="199"/>
      <c r="K28" s="199"/>
      <c r="L28" s="208"/>
    </row>
    <row r="29" spans="1:12" s="13" customFormat="1" ht="13.5" customHeight="1" x14ac:dyDescent="0.2">
      <c r="A29" s="205"/>
      <c r="B29" s="205"/>
      <c r="C29" s="205"/>
      <c r="D29" s="205"/>
      <c r="E29" s="205"/>
      <c r="F29" s="17"/>
      <c r="G29" s="200"/>
      <c r="H29" s="201"/>
      <c r="I29" s="201"/>
      <c r="J29" s="201"/>
      <c r="K29" s="201"/>
      <c r="L29" s="208"/>
    </row>
    <row r="30" spans="1:12" ht="10.5" customHeight="1" thickBot="1" x14ac:dyDescent="0.25">
      <c r="A30" s="206"/>
      <c r="B30" s="206"/>
      <c r="C30" s="206"/>
      <c r="D30" s="206"/>
      <c r="E30" s="206"/>
      <c r="F30" s="17"/>
      <c r="G30" s="202"/>
      <c r="H30" s="203"/>
      <c r="I30" s="203"/>
      <c r="J30" s="203"/>
      <c r="K30" s="203"/>
      <c r="L30" s="209"/>
    </row>
    <row r="31" spans="1:12" s="13" customFormat="1" ht="13.5" customHeight="1" thickBot="1" x14ac:dyDescent="0.25">
      <c r="A31" s="74" t="s">
        <v>61</v>
      </c>
      <c r="B31" s="19">
        <v>2018</v>
      </c>
      <c r="C31" s="19">
        <v>2019</v>
      </c>
      <c r="D31" s="90" t="s">
        <v>0</v>
      </c>
      <c r="E31" s="91" t="s">
        <v>1</v>
      </c>
      <c r="F31" s="25"/>
      <c r="G31" s="64" t="s">
        <v>59</v>
      </c>
      <c r="H31" s="19">
        <v>2018</v>
      </c>
      <c r="I31" s="19">
        <v>2019</v>
      </c>
      <c r="J31" s="19" t="s">
        <v>0</v>
      </c>
      <c r="K31" s="20" t="s">
        <v>1</v>
      </c>
      <c r="L31" s="155"/>
    </row>
    <row r="32" spans="1:12" ht="17.25" customHeight="1" x14ac:dyDescent="0.25">
      <c r="A32" s="77" t="s">
        <v>26</v>
      </c>
      <c r="B32" s="89">
        <f>502+50</f>
        <v>552</v>
      </c>
      <c r="C32" s="63">
        <f>594+90</f>
        <v>684</v>
      </c>
      <c r="D32" s="147">
        <f>C32-B32</f>
        <v>132</v>
      </c>
      <c r="E32" s="162">
        <f>D32/B32</f>
        <v>0.2391304347826087</v>
      </c>
      <c r="F32" s="26"/>
      <c r="G32" s="46" t="s">
        <v>7</v>
      </c>
      <c r="H32" s="79">
        <f>424+2373+2720+4397+47+26+132</f>
        <v>10119</v>
      </c>
      <c r="I32" s="79">
        <f>501+2263+2664+4197+88+35+163</f>
        <v>9911</v>
      </c>
      <c r="J32" s="107">
        <f>I32-H32</f>
        <v>-208</v>
      </c>
      <c r="K32" s="71">
        <f>J32/H32</f>
        <v>-2.0555390848898111E-2</v>
      </c>
      <c r="L32" s="168" t="s">
        <v>49</v>
      </c>
    </row>
    <row r="33" spans="1:12" s="3" customFormat="1" ht="16.5" customHeight="1" x14ac:dyDescent="0.25">
      <c r="A33" s="78" t="s">
        <v>5</v>
      </c>
      <c r="B33" s="89">
        <v>2591</v>
      </c>
      <c r="C33" s="63">
        <f>2450+30</f>
        <v>2480</v>
      </c>
      <c r="D33" s="73">
        <f t="shared" ref="D33:D35" si="10">C33-B33</f>
        <v>-111</v>
      </c>
      <c r="E33" s="108">
        <f t="shared" ref="E33:E35" si="11">D33/B33</f>
        <v>-4.2840602084137397E-2</v>
      </c>
      <c r="F33" s="26"/>
      <c r="G33" s="22" t="s">
        <v>8</v>
      </c>
      <c r="H33" s="116">
        <v>132335</v>
      </c>
      <c r="I33" s="80">
        <f>127328.5+154+1068</f>
        <v>128550.5</v>
      </c>
      <c r="J33" s="107">
        <f>I33-H33</f>
        <v>-3784.5</v>
      </c>
      <c r="K33" s="71">
        <f>J33/H33</f>
        <v>-2.8597876601050363E-2</v>
      </c>
      <c r="L33" s="169"/>
    </row>
    <row r="34" spans="1:12" ht="15" customHeight="1" x14ac:dyDescent="0.25">
      <c r="A34" s="78" t="s">
        <v>27</v>
      </c>
      <c r="B34" s="89">
        <v>2957</v>
      </c>
      <c r="C34" s="63">
        <f>2910</f>
        <v>2910</v>
      </c>
      <c r="D34" s="73">
        <f t="shared" si="10"/>
        <v>-47</v>
      </c>
      <c r="E34" s="108">
        <f t="shared" si="11"/>
        <v>-1.5894487656408524E-2</v>
      </c>
      <c r="F34" s="26"/>
      <c r="G34" s="47" t="s">
        <v>10</v>
      </c>
      <c r="H34" s="81">
        <f>H32+52+1311+540+52+55</f>
        <v>12129</v>
      </c>
      <c r="I34" s="81">
        <f>I32+56+1201+482+61+44+1</f>
        <v>11756</v>
      </c>
      <c r="J34" s="122">
        <f>I34-H34</f>
        <v>-373</v>
      </c>
      <c r="K34" s="123">
        <f>J34/H34</f>
        <v>-3.0752741363673841E-2</v>
      </c>
      <c r="L34" s="169"/>
    </row>
    <row r="35" spans="1:12" ht="15.75" customHeight="1" thickBot="1" x14ac:dyDescent="0.3">
      <c r="A35" s="78" t="s">
        <v>28</v>
      </c>
      <c r="B35" s="89">
        <v>4699</v>
      </c>
      <c r="C35" s="63">
        <v>4551</v>
      </c>
      <c r="D35" s="73">
        <f t="shared" si="10"/>
        <v>-148</v>
      </c>
      <c r="E35" s="108">
        <f t="shared" si="11"/>
        <v>-3.1496062992125984E-2</v>
      </c>
      <c r="F35" s="26"/>
      <c r="G35" s="48" t="s">
        <v>11</v>
      </c>
      <c r="H35" s="117">
        <v>150109</v>
      </c>
      <c r="I35" s="82">
        <v>144617.5</v>
      </c>
      <c r="J35" s="124">
        <f>I35-H35</f>
        <v>-5491.5</v>
      </c>
      <c r="K35" s="125">
        <f>J35/H35</f>
        <v>-3.6583416051002939E-2</v>
      </c>
      <c r="L35" s="170"/>
    </row>
    <row r="36" spans="1:12" ht="15.75" customHeight="1" thickBot="1" x14ac:dyDescent="0.3">
      <c r="A36" s="42" t="s">
        <v>34</v>
      </c>
      <c r="B36" s="49">
        <f>SUM(B32:B35)</f>
        <v>10799</v>
      </c>
      <c r="C36" s="49">
        <f>SUM(C32:C35)</f>
        <v>10625</v>
      </c>
      <c r="D36" s="120">
        <f t="shared" ref="D36:D38" si="12">C36-B36</f>
        <v>-174</v>
      </c>
      <c r="E36" s="121">
        <f t="shared" ref="E36:E38" si="13">D36/B36</f>
        <v>-1.6112603018798036E-2</v>
      </c>
      <c r="F36" s="26"/>
      <c r="G36" s="40"/>
      <c r="H36" s="83"/>
      <c r="I36" s="88"/>
      <c r="J36" s="95"/>
      <c r="K36" s="94"/>
      <c r="L36" s="173" t="s">
        <v>74</v>
      </c>
    </row>
    <row r="37" spans="1:12" ht="16.5" customHeight="1" thickBot="1" x14ac:dyDescent="0.3">
      <c r="A37" s="41" t="s">
        <v>30</v>
      </c>
      <c r="B37" s="50">
        <f>26+144</f>
        <v>170</v>
      </c>
      <c r="C37" s="50">
        <f>35+175</f>
        <v>210</v>
      </c>
      <c r="D37" s="147">
        <f t="shared" si="12"/>
        <v>40</v>
      </c>
      <c r="E37" s="70">
        <f t="shared" si="13"/>
        <v>0.23529411764705882</v>
      </c>
      <c r="F37" s="26"/>
      <c r="G37" s="65" t="s">
        <v>60</v>
      </c>
      <c r="H37" s="19">
        <v>2018</v>
      </c>
      <c r="I37" s="19">
        <v>2019</v>
      </c>
      <c r="J37" s="66" t="s">
        <v>0</v>
      </c>
      <c r="K37" s="67" t="s">
        <v>1</v>
      </c>
      <c r="L37" s="174"/>
    </row>
    <row r="38" spans="1:12" ht="15" customHeight="1" x14ac:dyDescent="0.25">
      <c r="A38" s="42" t="s">
        <v>6</v>
      </c>
      <c r="B38" s="49">
        <f>1625+65</f>
        <v>1690</v>
      </c>
      <c r="C38" s="49">
        <f>65+1493+1</f>
        <v>1559</v>
      </c>
      <c r="D38" s="120">
        <f t="shared" si="12"/>
        <v>-131</v>
      </c>
      <c r="E38" s="121">
        <f t="shared" si="13"/>
        <v>-7.7514792899408283E-2</v>
      </c>
      <c r="F38" s="26"/>
      <c r="G38" s="37" t="s">
        <v>7</v>
      </c>
      <c r="H38" s="84">
        <f>78+218+237+302+3+12</f>
        <v>850</v>
      </c>
      <c r="I38" s="84">
        <f>93+217+246+354+2+12</f>
        <v>924</v>
      </c>
      <c r="J38" s="75">
        <f>I38-H38</f>
        <v>74</v>
      </c>
      <c r="K38" s="76">
        <f>J38/H38</f>
        <v>8.7058823529411758E-2</v>
      </c>
      <c r="L38" s="175"/>
    </row>
    <row r="39" spans="1:12" ht="14.25" customHeight="1" x14ac:dyDescent="0.25">
      <c r="A39" s="159" t="s">
        <v>63</v>
      </c>
      <c r="B39" s="49">
        <v>637</v>
      </c>
      <c r="C39" s="49">
        <v>591</v>
      </c>
      <c r="D39" s="120">
        <f>C39-B39</f>
        <v>-46</v>
      </c>
      <c r="E39" s="121">
        <f>D39/B39</f>
        <v>-7.2213500784929358E-2</v>
      </c>
      <c r="F39" s="17"/>
      <c r="G39" s="18" t="s">
        <v>8</v>
      </c>
      <c r="H39" s="80">
        <v>10981</v>
      </c>
      <c r="I39" s="85">
        <f>12464+91</f>
        <v>12555</v>
      </c>
      <c r="J39" s="75">
        <f>I39-H39</f>
        <v>1574</v>
      </c>
      <c r="K39" s="76">
        <f>J39/H39</f>
        <v>0.14333849376195246</v>
      </c>
      <c r="L39" s="188" t="s">
        <v>97</v>
      </c>
    </row>
    <row r="40" spans="1:12" ht="16.5" customHeight="1" x14ac:dyDescent="0.25">
      <c r="A40" s="42" t="s">
        <v>64</v>
      </c>
      <c r="B40" s="114">
        <v>90</v>
      </c>
      <c r="C40" s="115">
        <f>113</f>
        <v>113</v>
      </c>
      <c r="D40" s="99">
        <f>C40-B40</f>
        <v>23</v>
      </c>
      <c r="E40" s="100">
        <f>D40/B40</f>
        <v>0.25555555555555554</v>
      </c>
      <c r="F40" s="17"/>
      <c r="G40" s="38" t="s">
        <v>12</v>
      </c>
      <c r="H40" s="86">
        <f>H38+13+314+97+38+10</f>
        <v>1322</v>
      </c>
      <c r="I40" s="86">
        <f>I38+9+292+109+52+2</f>
        <v>1388</v>
      </c>
      <c r="J40" s="163">
        <f>I40-H40</f>
        <v>66</v>
      </c>
      <c r="K40" s="76">
        <f t="shared" ref="K40:K41" si="14">J40/H40</f>
        <v>4.9924357034795766E-2</v>
      </c>
      <c r="L40" s="189"/>
    </row>
    <row r="41" spans="1:12" ht="15.75" customHeight="1" thickBot="1" x14ac:dyDescent="0.3">
      <c r="A41" s="43" t="s">
        <v>29</v>
      </c>
      <c r="B41" s="113">
        <v>65</v>
      </c>
      <c r="C41" s="113">
        <v>46</v>
      </c>
      <c r="D41" s="138">
        <f>C41-B41</f>
        <v>-19</v>
      </c>
      <c r="E41" s="139">
        <f>D41/B41</f>
        <v>-0.29230769230769232</v>
      </c>
      <c r="F41" s="17"/>
      <c r="G41" s="39" t="s">
        <v>13</v>
      </c>
      <c r="H41" s="82">
        <v>14998</v>
      </c>
      <c r="I41" s="87">
        <v>16534</v>
      </c>
      <c r="J41" s="36">
        <f>I41-H41</f>
        <v>1536</v>
      </c>
      <c r="K41" s="145">
        <f t="shared" si="14"/>
        <v>0.10241365515402054</v>
      </c>
      <c r="L41" s="189"/>
    </row>
    <row r="42" spans="1:12" ht="12" customHeight="1" thickBot="1" x14ac:dyDescent="0.25">
      <c r="A42" s="182" t="s">
        <v>98</v>
      </c>
      <c r="B42" s="182"/>
      <c r="C42" s="182"/>
      <c r="D42" s="182"/>
      <c r="E42" s="182"/>
      <c r="F42" s="17"/>
      <c r="G42" s="5"/>
      <c r="H42" s="9"/>
      <c r="I42" s="9"/>
      <c r="L42" s="189"/>
    </row>
    <row r="43" spans="1:12" ht="13.5" customHeight="1" thickBot="1" x14ac:dyDescent="0.25">
      <c r="A43" s="183"/>
      <c r="B43" s="183"/>
      <c r="C43" s="183"/>
      <c r="D43" s="183"/>
      <c r="E43" s="183"/>
      <c r="F43" s="17"/>
      <c r="G43" s="171" t="s">
        <v>25</v>
      </c>
      <c r="H43" s="172"/>
      <c r="I43" s="172"/>
      <c r="J43" s="19">
        <v>2017</v>
      </c>
      <c r="K43" s="20">
        <v>2018</v>
      </c>
      <c r="L43" s="190"/>
    </row>
    <row r="44" spans="1:12" ht="12.75" customHeight="1" x14ac:dyDescent="0.25">
      <c r="A44" s="183"/>
      <c r="B44" s="183"/>
      <c r="C44" s="183"/>
      <c r="D44" s="183"/>
      <c r="E44" s="183"/>
      <c r="F44" s="27"/>
      <c r="G44" s="186" t="s">
        <v>18</v>
      </c>
      <c r="H44" s="187"/>
      <c r="I44" s="187"/>
      <c r="J44" s="30">
        <f>H38/H24</f>
        <v>6.31923277079771E-2</v>
      </c>
      <c r="K44" s="31">
        <f>I38/I24</f>
        <v>7.029823493609251E-2</v>
      </c>
      <c r="L44" s="146" t="s">
        <v>58</v>
      </c>
    </row>
    <row r="45" spans="1:12" ht="12.75" customHeight="1" x14ac:dyDescent="0.25">
      <c r="A45" s="183"/>
      <c r="B45" s="183"/>
      <c r="C45" s="183"/>
      <c r="D45" s="183"/>
      <c r="E45" s="183"/>
      <c r="F45" s="27"/>
      <c r="G45" s="184" t="s">
        <v>15</v>
      </c>
      <c r="H45" s="185"/>
      <c r="I45" s="185"/>
      <c r="J45" s="30">
        <f>H39/B24</f>
        <v>6.6508788293581089E-2</v>
      </c>
      <c r="K45" s="11">
        <f>I39/C24</f>
        <v>7.7908055463337289E-2</v>
      </c>
      <c r="L45" s="156"/>
    </row>
    <row r="46" spans="1:12" ht="12" customHeight="1" x14ac:dyDescent="0.25">
      <c r="A46" s="183"/>
      <c r="B46" s="183"/>
      <c r="C46" s="183"/>
      <c r="D46" s="183"/>
      <c r="E46" s="183"/>
      <c r="F46" s="28"/>
      <c r="G46" s="176" t="s">
        <v>16</v>
      </c>
      <c r="H46" s="177"/>
      <c r="I46" s="177"/>
      <c r="J46" s="30">
        <f>H40/H24</f>
        <v>9.8282655564642038E-2</v>
      </c>
      <c r="K46" s="11">
        <f>I40/I24</f>
        <v>0.10559951308581862</v>
      </c>
      <c r="L46" s="178" t="s">
        <v>42</v>
      </c>
    </row>
    <row r="47" spans="1:12" ht="3.75" hidden="1" customHeight="1" x14ac:dyDescent="0.25">
      <c r="A47" s="183"/>
      <c r="B47" s="183"/>
      <c r="C47" s="183"/>
      <c r="D47" s="183"/>
      <c r="E47" s="183"/>
      <c r="F47" s="28"/>
      <c r="G47" s="176" t="s">
        <v>17</v>
      </c>
      <c r="H47" s="177"/>
      <c r="I47" s="177"/>
      <c r="J47" s="30">
        <f t="shared" ref="J47" si="15">H41/H27</f>
        <v>1.0729718128487624</v>
      </c>
      <c r="K47" s="11">
        <f>I41/C24</f>
        <v>0.10259910705143917</v>
      </c>
      <c r="L47" s="179"/>
    </row>
    <row r="48" spans="1:12" ht="15" customHeight="1" thickBot="1" x14ac:dyDescent="0.3">
      <c r="A48" s="183"/>
      <c r="B48" s="183"/>
      <c r="C48" s="183"/>
      <c r="D48" s="183"/>
      <c r="E48" s="183"/>
      <c r="F48" s="17"/>
      <c r="G48" s="180" t="s">
        <v>17</v>
      </c>
      <c r="H48" s="181"/>
      <c r="I48" s="181"/>
      <c r="J48" s="144">
        <f>H41/B24</f>
        <v>9.083861276997808E-2</v>
      </c>
      <c r="K48" s="12">
        <f>I41/C24</f>
        <v>0.10259910705143917</v>
      </c>
      <c r="L48" s="179"/>
    </row>
    <row r="49" spans="1:12" x14ac:dyDescent="0.2">
      <c r="A49" s="29" t="s">
        <v>39</v>
      </c>
      <c r="L49" s="158" t="s">
        <v>78</v>
      </c>
    </row>
  </sheetData>
  <mergeCells count="18">
    <mergeCell ref="B1:D1"/>
    <mergeCell ref="A2:C2"/>
    <mergeCell ref="G2:J2"/>
    <mergeCell ref="G1:L1"/>
    <mergeCell ref="G28:K30"/>
    <mergeCell ref="A28:E30"/>
    <mergeCell ref="L25:L30"/>
    <mergeCell ref="A42:E48"/>
    <mergeCell ref="G45:I45"/>
    <mergeCell ref="G44:I44"/>
    <mergeCell ref="G47:I47"/>
    <mergeCell ref="L39:L43"/>
    <mergeCell ref="L32:L35"/>
    <mergeCell ref="G43:I43"/>
    <mergeCell ref="L36:L38"/>
    <mergeCell ref="G46:I46"/>
    <mergeCell ref="L46:L48"/>
    <mergeCell ref="G48:I4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6" sqref="F6"/>
    </sheetView>
  </sheetViews>
  <sheetFormatPr defaultRowHeight="12.75" x14ac:dyDescent="0.2"/>
  <cols>
    <col min="1" max="1" width="15.7109375" customWidth="1"/>
    <col min="2" max="2" width="14.7109375" customWidth="1"/>
    <col min="5" max="5" width="15" customWidth="1"/>
  </cols>
  <sheetData>
    <row r="2" spans="1:6" x14ac:dyDescent="0.2">
      <c r="B2" s="40" t="s">
        <v>54</v>
      </c>
      <c r="C2" s="40" t="s">
        <v>55</v>
      </c>
      <c r="E2" s="40" t="s">
        <v>56</v>
      </c>
      <c r="F2" s="40" t="s">
        <v>57</v>
      </c>
    </row>
    <row r="3" spans="1:6" x14ac:dyDescent="0.2">
      <c r="A3" t="s">
        <v>50</v>
      </c>
      <c r="B3" s="98">
        <f>IF(SUM('Sheet 1'!B4:B23)='Sheet 1'!B24,0,1)</f>
        <v>0</v>
      </c>
      <c r="C3" s="98">
        <f>IF(SUM('Sheet 1'!C4:C23)='Sheet 1'!C24,0,1)</f>
        <v>0</v>
      </c>
      <c r="D3" s="98"/>
      <c r="E3" s="98">
        <f>IF(SUM('Sheet 1'!H4:H22)='Sheet 1'!H24,0,1)</f>
        <v>0</v>
      </c>
      <c r="F3" s="98">
        <f>IF(SUM('Sheet 1'!I4:I22)='Sheet 1'!I24,0,1)</f>
        <v>0</v>
      </c>
    </row>
    <row r="4" spans="1:6" x14ac:dyDescent="0.2">
      <c r="A4" t="s">
        <v>51</v>
      </c>
      <c r="B4" s="98">
        <f>IF((SUM('Sheet 1'!B$24:B$26))=('Sheet 1'!B$27),0,1)</f>
        <v>0</v>
      </c>
      <c r="C4" s="98">
        <f>IF((SUM('Sheet 1'!C$24:C$26))=('Sheet 1'!C$27),0,1)</f>
        <v>0</v>
      </c>
      <c r="D4" s="98"/>
      <c r="E4" s="98">
        <f>IF((SUM('Sheet 1'!H$24:H$26))=('Sheet 1'!H$27),0,1)</f>
        <v>0</v>
      </c>
      <c r="F4" s="98">
        <f>IF((SUM('Sheet 1'!I$24:I$26))=('Sheet 1'!I$27),0,1)</f>
        <v>0</v>
      </c>
    </row>
    <row r="5" spans="1:6" x14ac:dyDescent="0.2">
      <c r="B5" s="98"/>
      <c r="C5" s="98"/>
      <c r="D5" s="98"/>
      <c r="E5" s="98"/>
      <c r="F5" s="98"/>
    </row>
    <row r="6" spans="1:6" x14ac:dyDescent="0.2">
      <c r="A6" t="s">
        <v>52</v>
      </c>
      <c r="B6" s="98"/>
      <c r="C6" s="98"/>
      <c r="D6" s="98"/>
      <c r="E6" s="98">
        <f>IF(SUM('Sheet 1'!B36:B41)='Sheet 1'!H24,0,1)</f>
        <v>0</v>
      </c>
      <c r="F6" s="98">
        <f>IF(SUM('Sheet 1'!C36:C41)='Sheet 1'!I24,0,1)</f>
        <v>0</v>
      </c>
    </row>
    <row r="7" spans="1:6" x14ac:dyDescent="0.2">
      <c r="B7" s="98"/>
      <c r="C7" s="98"/>
      <c r="D7" s="98"/>
      <c r="E7" s="98"/>
      <c r="F7" s="98"/>
    </row>
    <row r="8" spans="1:6" x14ac:dyDescent="0.2">
      <c r="A8" t="s">
        <v>53</v>
      </c>
      <c r="B8" s="98">
        <f>IF(SUM('Sheet 1'!H35,'Sheet 1'!H41)='Sheet 1'!B24,0,1)</f>
        <v>1</v>
      </c>
      <c r="C8" s="98">
        <f>IF(SUM('Sheet 1'!I35,'Sheet 1'!I41)='Sheet 1'!C24,0,1)</f>
        <v>0</v>
      </c>
      <c r="D8" s="98"/>
      <c r="E8" s="98">
        <f>IF(SUM('Sheet 1'!H34,'Sheet 1'!H40)='Sheet 1'!H24,0,1)</f>
        <v>0</v>
      </c>
      <c r="F8" s="98">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2019-05-13T20:25:15Z</dcterms:modified>
</cp:coreProperties>
</file>